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PA24-250 (N6087P)" sheetId="1" r:id="rId1"/>
  </sheets>
  <definedNames>
    <definedName name="_xlnm.Print_Area" localSheetId="0">'PA24-250 (N6087P)'!$A$1:$M$50</definedName>
  </definedNames>
  <calcPr fullCalcOnLoad="1"/>
</workbook>
</file>

<file path=xl/sharedStrings.xml><?xml version="1.0" encoding="utf-8"?>
<sst xmlns="http://schemas.openxmlformats.org/spreadsheetml/2006/main" count="26" uniqueCount="25">
  <si>
    <t>Item</t>
  </si>
  <si>
    <t xml:space="preserve">Volume </t>
  </si>
  <si>
    <t>Weight       (lb.)</t>
  </si>
  <si>
    <t>C. G. Arm (Inches Aft of Datum)</t>
  </si>
  <si>
    <t>Pilot and Front Passenger</t>
  </si>
  <si>
    <t>Total Without Fuel</t>
  </si>
  <si>
    <t>Weight (Pounds)</t>
  </si>
  <si>
    <t xml:space="preserve">Moment/1000 (Pound-Inches) </t>
  </si>
  <si>
    <t>Center of Gravity          Moment Table</t>
  </si>
  <si>
    <t>Center of Gravity          Limit Table</t>
  </si>
  <si>
    <t>Aircraft C.G Location (inches aft of datum)</t>
  </si>
  <si>
    <t>Rear Passengers</t>
  </si>
  <si>
    <t>Baggage Area - rear</t>
  </si>
  <si>
    <t>Moment          (lb.-ins./100)</t>
  </si>
  <si>
    <t>Engine Start, Taxi, Runup</t>
  </si>
  <si>
    <t>Total Ramp Weight</t>
  </si>
  <si>
    <t>Total Loaded Airplane at Takeoff</t>
  </si>
  <si>
    <t>Load Remaining</t>
  </si>
  <si>
    <t>WEIGHT AND BALANCE                                                                                                                                         PA24-250 (N6087P)</t>
  </si>
  <si>
    <t>Oil</t>
  </si>
  <si>
    <t>Fuel Main Tank (86 Gal. Usable) - units gallons</t>
  </si>
  <si>
    <t>Licensed Empty Weight (1-10-2008)</t>
  </si>
  <si>
    <t>W&amp;B data dated: 1-10-2008 Edrive starter installed)</t>
  </si>
  <si>
    <t>Fwd To Limit</t>
  </si>
  <si>
    <t>Tips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</si>
</sst>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\ "/>
    <numFmt numFmtId="171" formatCode="0.00\ "/>
    <numFmt numFmtId="172" formatCode="&quot;$&quot;#,##0"/>
    <numFmt numFmtId="173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73" fontId="0" fillId="0" borderId="15" xfId="0" applyNumberFormat="1" applyBorder="1" applyAlignment="1">
      <alignment horizontal="right"/>
    </xf>
    <xf numFmtId="164" fontId="0" fillId="0" borderId="20" xfId="0" applyNumberFormat="1" applyBorder="1" applyAlignment="1">
      <alignment horizontal="center"/>
    </xf>
    <xf numFmtId="9" fontId="0" fillId="0" borderId="0" xfId="0" applyNumberFormat="1" applyAlignment="1">
      <alignment horizontal="left"/>
    </xf>
    <xf numFmtId="0" fontId="0" fillId="33" borderId="23" xfId="0" applyFill="1" applyBorder="1" applyAlignment="1">
      <alignment/>
    </xf>
    <xf numFmtId="164" fontId="42" fillId="0" borderId="10" xfId="0" applyNumberFormat="1" applyFont="1" applyBorder="1" applyAlignment="1">
      <alignment horizontal="right"/>
    </xf>
    <xf numFmtId="0" fontId="43" fillId="0" borderId="12" xfId="0" applyFont="1" applyBorder="1" applyAlignment="1">
      <alignment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33" borderId="26" xfId="0" applyNumberFormat="1" applyFill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33" borderId="28" xfId="0" applyNumberFormat="1" applyFill="1" applyBorder="1" applyAlignment="1">
      <alignment horizontal="right"/>
    </xf>
    <xf numFmtId="164" fontId="0" fillId="33" borderId="20" xfId="0" applyNumberFormat="1" applyFill="1" applyBorder="1" applyAlignment="1">
      <alignment horizontal="right"/>
    </xf>
    <xf numFmtId="164" fontId="0" fillId="33" borderId="22" xfId="0" applyNumberFormat="1" applyFill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Garvity Limits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25"/>
          <c:y val="0.0355"/>
          <c:w val="0.69325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'PA24-250 (N6087P)'!$K$3:$K$7</c:f>
              <c:numCache/>
            </c:numRef>
          </c:xVal>
          <c:yVal>
            <c:numRef>
              <c:f>'PA24-250 (N6087P)'!$J$3:$J$7</c:f>
              <c:numCache/>
            </c:numRef>
          </c:yVal>
          <c:smooth val="0"/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'PA24-250 (N6087P)'!$D$12:$D$13</c:f>
              <c:numCache/>
            </c:numRef>
          </c:xVal>
          <c:yVal>
            <c:numRef>
              <c:f>'PA24-250 (N6087P)'!$C$12:$C$13</c:f>
              <c:numCache/>
            </c:numRef>
          </c:yVal>
          <c:smooth val="0"/>
        </c:ser>
        <c:axId val="39693102"/>
        <c:axId val="21693599"/>
      </c:scatterChart>
      <c:valAx>
        <c:axId val="39693102"/>
        <c:scaling>
          <c:orientation val="minMax"/>
          <c:max val="94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C.G. Location (Inches Aft of Datum)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93599"/>
        <c:crossesAt val="1100"/>
        <c:crossBetween val="midCat"/>
        <c:dispUnits/>
        <c:majorUnit val="1"/>
      </c:valAx>
      <c:valAx>
        <c:axId val="21693599"/>
        <c:scaling>
          <c:orientation val="minMax"/>
          <c:max val="3100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37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3102"/>
        <c:crosses val="autoZero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35675"/>
          <c:w val="0.19675"/>
          <c:h val="0.3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19050</xdr:rowOff>
    </xdr:from>
    <xdr:to>
      <xdr:col>5</xdr:col>
      <xdr:colOff>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0" y="3352800"/>
        <a:ext cx="5676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2.28125" style="0" customWidth="1"/>
    <col min="2" max="5" width="10.7109375" style="0" customWidth="1"/>
  </cols>
  <sheetData>
    <row r="1" spans="1:11" ht="26.25">
      <c r="A1" s="3" t="s">
        <v>18</v>
      </c>
      <c r="B1" s="4"/>
      <c r="C1" s="4"/>
      <c r="D1" s="4"/>
      <c r="E1" s="5"/>
      <c r="G1" s="46" t="s">
        <v>8</v>
      </c>
      <c r="H1" s="47"/>
      <c r="J1" s="46" t="s">
        <v>9</v>
      </c>
      <c r="K1" s="47"/>
    </row>
    <row r="2" spans="1:11" ht="78.75">
      <c r="A2" s="6" t="s">
        <v>0</v>
      </c>
      <c r="B2" s="1" t="s">
        <v>1</v>
      </c>
      <c r="C2" s="1" t="s">
        <v>2</v>
      </c>
      <c r="D2" s="1" t="s">
        <v>3</v>
      </c>
      <c r="E2" s="7" t="s">
        <v>13</v>
      </c>
      <c r="G2" s="19" t="s">
        <v>6</v>
      </c>
      <c r="H2" s="20" t="s">
        <v>7</v>
      </c>
      <c r="J2" s="19" t="s">
        <v>6</v>
      </c>
      <c r="K2" s="20" t="s">
        <v>10</v>
      </c>
    </row>
    <row r="3" spans="1:11" ht="12.75">
      <c r="A3" s="8" t="s">
        <v>21</v>
      </c>
      <c r="B3" s="2"/>
      <c r="C3" s="12">
        <v>1817.9</v>
      </c>
      <c r="D3" s="12">
        <f>154138.89/1825.58</f>
        <v>84.43283230534955</v>
      </c>
      <c r="E3" s="27">
        <f aca="true" t="shared" si="0" ref="E3:E9">C3*D3/1000</f>
        <v>153.49044584789496</v>
      </c>
      <c r="G3" s="21">
        <f>J3</f>
        <v>1900</v>
      </c>
      <c r="H3" s="22">
        <f>G3*K3/1000</f>
        <v>152.95</v>
      </c>
      <c r="J3" s="21">
        <v>1900</v>
      </c>
      <c r="K3" s="22">
        <v>80.5</v>
      </c>
    </row>
    <row r="4" spans="1:11" ht="12.75">
      <c r="A4" s="8" t="s">
        <v>19</v>
      </c>
      <c r="B4" s="2"/>
      <c r="C4" s="12">
        <v>17</v>
      </c>
      <c r="D4" s="12">
        <v>28</v>
      </c>
      <c r="E4" s="27">
        <f t="shared" si="0"/>
        <v>0.476</v>
      </c>
      <c r="G4" s="21">
        <f>J4</f>
        <v>2400</v>
      </c>
      <c r="H4" s="22">
        <f>G4*K4/1000</f>
        <v>198</v>
      </c>
      <c r="J4" s="21">
        <v>2400</v>
      </c>
      <c r="K4" s="22">
        <v>82.5</v>
      </c>
    </row>
    <row r="5" spans="1:11" ht="12.75">
      <c r="A5" s="8" t="s">
        <v>4</v>
      </c>
      <c r="B5" s="2"/>
      <c r="C5" s="31">
        <v>200</v>
      </c>
      <c r="D5" s="12">
        <v>84.5</v>
      </c>
      <c r="E5" s="13">
        <f t="shared" si="0"/>
        <v>16.9</v>
      </c>
      <c r="G5" s="21">
        <f>J5</f>
        <v>3000</v>
      </c>
      <c r="H5" s="22">
        <f>G5*K5/1000</f>
        <v>270.9</v>
      </c>
      <c r="J5" s="21">
        <v>3000</v>
      </c>
      <c r="K5" s="28">
        <v>90.3</v>
      </c>
    </row>
    <row r="6" spans="1:11" ht="12.75">
      <c r="A6" s="8" t="s">
        <v>11</v>
      </c>
      <c r="B6" s="2"/>
      <c r="C6" s="31">
        <f>235+210</f>
        <v>445</v>
      </c>
      <c r="D6" s="12">
        <v>118.5</v>
      </c>
      <c r="E6" s="13">
        <f t="shared" si="0"/>
        <v>52.7325</v>
      </c>
      <c r="G6" s="21">
        <f>J6</f>
        <v>3000</v>
      </c>
      <c r="H6" s="22">
        <f>G6*K6/1000</f>
        <v>279</v>
      </c>
      <c r="J6" s="21">
        <v>3000</v>
      </c>
      <c r="K6" s="22">
        <v>93</v>
      </c>
    </row>
    <row r="7" spans="1:11" ht="13.5" thickBot="1">
      <c r="A7" s="8" t="s">
        <v>12</v>
      </c>
      <c r="B7" s="2"/>
      <c r="C7" s="31">
        <v>75</v>
      </c>
      <c r="D7" s="12">
        <v>142</v>
      </c>
      <c r="E7" s="13">
        <f t="shared" si="0"/>
        <v>10.65</v>
      </c>
      <c r="G7" s="23">
        <f>J7</f>
        <v>1900</v>
      </c>
      <c r="H7" s="24">
        <f>G7*K7/1000</f>
        <v>176.7</v>
      </c>
      <c r="J7" s="23">
        <v>1900</v>
      </c>
      <c r="K7" s="24">
        <v>93</v>
      </c>
    </row>
    <row r="8" spans="1:5" ht="13.5" thickBot="1">
      <c r="A8" s="11" t="s">
        <v>20</v>
      </c>
      <c r="B8" s="32">
        <v>76</v>
      </c>
      <c r="C8" s="16">
        <f>6*B8</f>
        <v>456</v>
      </c>
      <c r="D8" s="16">
        <v>90</v>
      </c>
      <c r="E8" s="17">
        <f>C8*D8/1000</f>
        <v>41.04</v>
      </c>
    </row>
    <row r="9" spans="1:7" ht="12.75">
      <c r="A9" s="11" t="s">
        <v>14</v>
      </c>
      <c r="B9" s="18">
        <v>-2</v>
      </c>
      <c r="C9" s="33">
        <f>6*B9</f>
        <v>-12</v>
      </c>
      <c r="D9" s="16">
        <f>D8</f>
        <v>90</v>
      </c>
      <c r="E9" s="17">
        <f t="shared" si="0"/>
        <v>-1.08</v>
      </c>
      <c r="G9" t="s">
        <v>22</v>
      </c>
    </row>
    <row r="10" spans="1:6" ht="13.5" thickBot="1">
      <c r="A10" s="9"/>
      <c r="B10" s="35"/>
      <c r="C10" s="35"/>
      <c r="D10" s="35"/>
      <c r="E10" s="38"/>
      <c r="F10" s="25"/>
    </row>
    <row r="11" spans="1:6" ht="13.5" thickBot="1">
      <c r="A11" s="10" t="s">
        <v>15</v>
      </c>
      <c r="B11" s="35"/>
      <c r="C11" s="34">
        <f>SUM(C3:C8)</f>
        <v>3010.9</v>
      </c>
      <c r="D11" s="37"/>
      <c r="E11" s="39"/>
      <c r="F11" t="s">
        <v>17</v>
      </c>
    </row>
    <row r="12" spans="1:10" ht="13.5" thickBot="1">
      <c r="A12" s="10" t="s">
        <v>16</v>
      </c>
      <c r="B12" s="35"/>
      <c r="C12" s="14">
        <f>C13+C8+C9</f>
        <v>2998.9</v>
      </c>
      <c r="D12" s="40">
        <f>E12*1000/C12</f>
        <v>91.43650866914368</v>
      </c>
      <c r="E12" s="36">
        <f>SUM(E3:E9)</f>
        <v>274.208945847895</v>
      </c>
      <c r="F12" s="25">
        <f>3000-C12</f>
        <v>1.099999999999909</v>
      </c>
      <c r="J12" s="44" t="s">
        <v>24</v>
      </c>
    </row>
    <row r="13" spans="1:10" ht="13.5" thickBot="1">
      <c r="A13" s="10" t="s">
        <v>5</v>
      </c>
      <c r="B13" s="30"/>
      <c r="C13" s="14">
        <f>SUM(C3:C7)</f>
        <v>2554.9</v>
      </c>
      <c r="D13" s="41">
        <f>E13*1000/C13</f>
        <v>91.68615047473286</v>
      </c>
      <c r="E13" s="15">
        <f>SUM(E3:E7)</f>
        <v>234.248945847895</v>
      </c>
      <c r="G13" t="s">
        <v>23</v>
      </c>
      <c r="J13" s="45">
        <f>MAX(0,B8-56)</f>
        <v>20</v>
      </c>
    </row>
    <row r="14" spans="6:9" ht="12.75">
      <c r="F14" s="25"/>
      <c r="G14">
        <f>K4+(K5-K4)*(C12-G4)/(G5-G4)</f>
        <v>90.28569999999999</v>
      </c>
      <c r="H14" s="42" t="str">
        <f>IF(D12&gt;=G14,"OK","")</f>
        <v>OK</v>
      </c>
      <c r="I14" s="43">
        <f>IF(D12&lt;G14,"NOT OK","")</f>
      </c>
    </row>
    <row r="25" ht="12.75">
      <c r="H25" s="29"/>
    </row>
    <row r="26" ht="12.75">
      <c r="H26" s="26"/>
    </row>
  </sheetData>
  <sheetProtection/>
  <mergeCells count="2">
    <mergeCell ref="G1:H1"/>
    <mergeCell ref="J1:K1"/>
  </mergeCells>
  <printOptions/>
  <pageMargins left="0.75" right="0.75" top="1" bottom="1" header="0.5" footer="0.5"/>
  <pageSetup fitToHeight="1" fitToWidth="1" horizontalDpi="300" verticalDpi="300" orientation="landscape" scale="66" r:id="rId2"/>
  <ignoredErrors>
    <ignoredError sqref="D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subject/>
  <dc:creator>Mike Dubbury</dc:creator>
  <cp:keywords/>
  <dc:description/>
  <cp:lastModifiedBy>Howard Wolvington</cp:lastModifiedBy>
  <cp:lastPrinted>2004-06-24T03:18:03Z</cp:lastPrinted>
  <dcterms:created xsi:type="dcterms:W3CDTF">1998-12-17T17:30:16Z</dcterms:created>
  <dcterms:modified xsi:type="dcterms:W3CDTF">2014-06-28T01:27:32Z</dcterms:modified>
  <cp:category/>
  <cp:version/>
  <cp:contentType/>
  <cp:contentStatus/>
</cp:coreProperties>
</file>